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мер 1" sheetId="1" r:id="rId1"/>
    <sheet name="Пример 2" sheetId="6" r:id="rId2"/>
    <sheet name="Пример 3" sheetId="7" r:id="rId3"/>
  </sheets>
  <calcPr calcId="152511"/>
</workbook>
</file>

<file path=xl/calcChain.xml><?xml version="1.0" encoding="utf-8"?>
<calcChain xmlns="http://schemas.openxmlformats.org/spreadsheetml/2006/main">
  <c r="H12" i="7" l="1"/>
  <c r="B16" i="7"/>
  <c r="B15" i="7"/>
  <c r="B17" i="7" l="1"/>
  <c r="B18" i="7"/>
  <c r="F14" i="7"/>
  <c r="F13" i="7"/>
  <c r="G12" i="7"/>
  <c r="H13" i="7" l="1"/>
  <c r="G14" i="7"/>
  <c r="H14" i="7"/>
  <c r="G13" i="7"/>
  <c r="H15" i="7" l="1"/>
  <c r="K16" i="7"/>
  <c r="G15" i="7"/>
  <c r="K18" i="7" s="1"/>
  <c r="K14" i="7"/>
  <c r="K12" i="7"/>
  <c r="B7" i="7" l="1"/>
  <c r="B8" i="7" s="1"/>
  <c r="B9" i="7" s="1"/>
  <c r="B10" i="7" s="1"/>
  <c r="F21" i="6"/>
  <c r="G21" i="6" l="1"/>
  <c r="F20" i="6"/>
  <c r="G20" i="6" s="1"/>
  <c r="F16" i="6"/>
  <c r="H16" i="6" s="1"/>
  <c r="F15" i="6"/>
  <c r="H13" i="6"/>
  <c r="G13" i="6"/>
  <c r="H21" i="6" l="1"/>
  <c r="J13" i="6"/>
  <c r="J14" i="6" s="1"/>
  <c r="H20" i="6"/>
  <c r="J20" i="6" s="1"/>
  <c r="G22" i="6"/>
  <c r="G15" i="6"/>
  <c r="H15" i="6"/>
  <c r="H17" i="6" s="1"/>
  <c r="G16" i="6"/>
  <c r="H22" i="6" l="1"/>
  <c r="J21" i="6"/>
  <c r="J22" i="6" s="1"/>
  <c r="J23" i="6" s="1"/>
  <c r="J15" i="6"/>
  <c r="G17" i="6"/>
  <c r="J16" i="6" s="1"/>
  <c r="B8" i="6" l="1"/>
  <c r="J17" i="6"/>
  <c r="J18" i="6" s="1"/>
  <c r="L10" i="1" l="1"/>
  <c r="K10" i="1"/>
  <c r="J10" i="1"/>
  <c r="I10" i="1"/>
  <c r="L9" i="1"/>
  <c r="K9" i="1"/>
  <c r="J9" i="1"/>
  <c r="I9" i="1"/>
  <c r="H9" i="1"/>
  <c r="J8" i="1"/>
  <c r="I8" i="1"/>
  <c r="H8" i="1"/>
  <c r="F10" i="1" l="1"/>
  <c r="B6" i="1" s="1"/>
  <c r="F9" i="1"/>
  <c r="F8" i="1"/>
</calcChain>
</file>

<file path=xl/sharedStrings.xml><?xml version="1.0" encoding="utf-8"?>
<sst xmlns="http://schemas.openxmlformats.org/spreadsheetml/2006/main" count="52" uniqueCount="26">
  <si>
    <t>Грунты</t>
  </si>
  <si>
    <t>Значение коэффициента moed при коэффициенте пористости e, равном</t>
  </si>
  <si>
    <t>Супеси</t>
  </si>
  <si>
    <t>Суглинки</t>
  </si>
  <si>
    <t>Глины</t>
  </si>
  <si>
    <t>Выберите грунт</t>
  </si>
  <si>
    <t>Коэфф. пористости</t>
  </si>
  <si>
    <t>Коэфф. moed</t>
  </si>
  <si>
    <t>Глинистые грунты</t>
  </si>
  <si>
    <r>
      <t xml:space="preserve">Коэффициент пористости </t>
    </r>
    <r>
      <rPr>
        <i/>
        <sz val="11"/>
        <color theme="1"/>
        <rFont val="Calibri"/>
        <family val="2"/>
        <charset val="204"/>
        <scheme val="minor"/>
      </rPr>
      <t>e</t>
    </r>
  </si>
  <si>
    <t>e</t>
  </si>
  <si>
    <t>R0, кПа</t>
  </si>
  <si>
    <r>
      <t>I</t>
    </r>
    <r>
      <rPr>
        <b/>
        <sz val="8"/>
        <color theme="1"/>
        <rFont val="Calibri"/>
        <family val="2"/>
        <charset val="204"/>
        <scheme val="minor"/>
      </rPr>
      <t>L</t>
    </r>
  </si>
  <si>
    <t>Значение R0, кПа при показателе текучести грунта IL</t>
  </si>
  <si>
    <t>w</t>
  </si>
  <si>
    <t>Ошибка</t>
  </si>
  <si>
    <t>Коэфф. водонасыщ.</t>
  </si>
  <si>
    <t>Расчет плотности по Мариупольскому</t>
  </si>
  <si>
    <t>qc (по статике), МПа</t>
  </si>
  <si>
    <t>Влажность природ. W, д.е.</t>
  </si>
  <si>
    <t>Плотность частиц, г/см3</t>
  </si>
  <si>
    <t>Плотность природ., г/см3</t>
  </si>
  <si>
    <t>Плотность сухого, г/см3</t>
  </si>
  <si>
    <t>p, г/см3, при сопротивление qc, МПа</t>
  </si>
  <si>
    <t>Коэфф. водонасыщ</t>
  </si>
  <si>
    <t>Результат интерполяции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</si>
</sst>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/>
    <xf numFmtId="2" fontId="2" fillId="0" borderId="1" xfId="0" applyNumberFormat="1" applyFont="1" applyBorder="1"/>
    <xf numFmtId="0" fontId="0" fillId="0" borderId="1" xfId="0" applyBorder="1"/>
    <xf numFmtId="164" fontId="0" fillId="0" borderId="0" xfId="0" applyNumberFormat="1"/>
    <xf numFmtId="0" fontId="2" fillId="0" borderId="1" xfId="0" applyFont="1" applyBorder="1" applyAlignment="1"/>
    <xf numFmtId="0" fontId="2" fillId="0" borderId="3" xfId="0" applyFont="1" applyBorder="1" applyAlignme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0" xfId="0" applyFont="1"/>
    <xf numFmtId="0" fontId="5" fillId="0" borderId="0" xfId="0" applyFont="1"/>
    <xf numFmtId="0" fontId="0" fillId="0" borderId="0" xfId="0" applyFill="1" applyBorder="1"/>
    <xf numFmtId="164" fontId="0" fillId="0" borderId="0" xfId="0" applyNumberFormat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/>
    <xf numFmtId="0" fontId="3" fillId="3" borderId="1" xfId="0" applyFont="1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/>
    <xf numFmtId="0" fontId="0" fillId="0" borderId="6" xfId="0" applyFill="1" applyBorder="1"/>
    <xf numFmtId="0" fontId="0" fillId="0" borderId="1" xfId="0" applyFill="1" applyBorder="1"/>
    <xf numFmtId="164" fontId="0" fillId="0" borderId="0" xfId="0" applyNumberFormat="1" applyFill="1"/>
    <xf numFmtId="0" fontId="0" fillId="0" borderId="0" xfId="0" applyFill="1" applyAlignment="1"/>
    <xf numFmtId="2" fontId="0" fillId="4" borderId="1" xfId="0" applyNumberFormat="1" applyFill="1" applyBorder="1"/>
    <xf numFmtId="164" fontId="0" fillId="0" borderId="1" xfId="0" applyNumberFormat="1" applyFill="1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workbookViewId="0">
      <selection activeCell="M17" sqref="M17"/>
    </sheetView>
  </sheetViews>
  <sheetFormatPr defaultRowHeight="15" x14ac:dyDescent="0.25"/>
  <cols>
    <col min="1" max="1" width="20.42578125" customWidth="1"/>
    <col min="2" max="2" width="15.5703125" customWidth="1"/>
    <col min="6" max="6" width="15.85546875" customWidth="1"/>
  </cols>
  <sheetData>
    <row r="1" spans="1:14" x14ac:dyDescent="0.25">
      <c r="F1" s="38" t="s">
        <v>0</v>
      </c>
      <c r="G1" s="42" t="s">
        <v>1</v>
      </c>
      <c r="H1" s="42"/>
      <c r="I1" s="42"/>
      <c r="J1" s="42"/>
      <c r="K1" s="42"/>
      <c r="L1" s="42"/>
      <c r="M1" s="42"/>
      <c r="N1" s="1"/>
    </row>
    <row r="2" spans="1:14" x14ac:dyDescent="0.25">
      <c r="A2" t="s">
        <v>5</v>
      </c>
      <c r="B2" t="s">
        <v>3</v>
      </c>
      <c r="F2" s="39"/>
      <c r="G2" s="42"/>
      <c r="H2" s="42"/>
      <c r="I2" s="42"/>
      <c r="J2" s="42"/>
      <c r="K2" s="42"/>
      <c r="L2" s="42"/>
      <c r="M2" s="42"/>
      <c r="N2" s="1"/>
    </row>
    <row r="3" spans="1:14" x14ac:dyDescent="0.25">
      <c r="A3" t="s">
        <v>6</v>
      </c>
      <c r="B3">
        <v>0.63</v>
      </c>
      <c r="F3" s="40"/>
      <c r="G3" s="5">
        <v>0.45</v>
      </c>
      <c r="H3" s="5">
        <v>0.55000000000000004</v>
      </c>
      <c r="I3" s="5">
        <v>0.65</v>
      </c>
      <c r="J3" s="5">
        <v>0.75</v>
      </c>
      <c r="K3" s="5">
        <v>0.85</v>
      </c>
      <c r="L3" s="5">
        <v>0.95</v>
      </c>
      <c r="M3" s="5">
        <v>1.05</v>
      </c>
      <c r="N3" s="2"/>
    </row>
    <row r="4" spans="1:14" x14ac:dyDescent="0.25">
      <c r="F4" s="8" t="s">
        <v>2</v>
      </c>
      <c r="G4" s="4">
        <v>2.8</v>
      </c>
      <c r="H4" s="4">
        <v>2.8</v>
      </c>
      <c r="I4" s="4">
        <v>2.5</v>
      </c>
      <c r="J4" s="4">
        <v>2.1</v>
      </c>
      <c r="K4" s="4">
        <v>1.4</v>
      </c>
      <c r="L4" s="4">
        <v>0</v>
      </c>
      <c r="M4" s="4">
        <v>0</v>
      </c>
      <c r="N4" s="2"/>
    </row>
    <row r="5" spans="1:14" x14ac:dyDescent="0.25">
      <c r="A5" s="41" t="s">
        <v>25</v>
      </c>
      <c r="B5" s="41"/>
      <c r="F5" s="9" t="s">
        <v>3</v>
      </c>
      <c r="G5" s="4">
        <v>3</v>
      </c>
      <c r="H5" s="4">
        <v>3</v>
      </c>
      <c r="I5" s="3">
        <v>2.7</v>
      </c>
      <c r="J5" s="3">
        <v>2.4</v>
      </c>
      <c r="K5" s="4">
        <v>2</v>
      </c>
      <c r="L5" s="3">
        <v>1.5</v>
      </c>
      <c r="M5" s="4">
        <v>1</v>
      </c>
    </row>
    <row r="6" spans="1:14" x14ac:dyDescent="0.25">
      <c r="A6" s="27" t="s">
        <v>7</v>
      </c>
      <c r="B6" s="6">
        <f>IF(B2="Супеси",F8,IF(B2="Суглинки",F9,IF(B2="Глины",F10)))</f>
        <v>2.7600000000000007</v>
      </c>
      <c r="F6" s="9" t="s">
        <v>4</v>
      </c>
      <c r="G6" s="4">
        <v>0</v>
      </c>
      <c r="H6" s="4">
        <v>0</v>
      </c>
      <c r="I6" s="3">
        <v>2.4</v>
      </c>
      <c r="J6" s="3">
        <v>2.2999999999999998</v>
      </c>
      <c r="K6" s="3">
        <v>2.2000000000000002</v>
      </c>
      <c r="L6" s="4">
        <v>2</v>
      </c>
      <c r="M6" s="3">
        <v>1.8</v>
      </c>
    </row>
    <row r="8" spans="1:14" x14ac:dyDescent="0.25">
      <c r="F8" s="10">
        <f>IF(B3&lt;=0.55,G4,IF(AND(B3&gt;0.55,B3&lt;=0.65),H8,IF(AND(B3&gt;0.65,B3&lt;=0.75),I8,IF(AND(B3&gt;0.75,B3&lt;=0.85),J8,IF(B3&gt;0.85, "Ошибка")))))</f>
        <v>2.5599999999999996</v>
      </c>
      <c r="G8" s="7"/>
      <c r="H8" s="7">
        <f>FORECAST(B3,H4:I4,H3:I3)</f>
        <v>2.5599999999999996</v>
      </c>
      <c r="I8" s="7">
        <f>FORECAST(B3,I4:J4,I3:J3)</f>
        <v>2.5799999999999996</v>
      </c>
      <c r="J8" s="7">
        <f>FORECAST(B3,J4:K4,J3:K3)</f>
        <v>2.9400000000000013</v>
      </c>
    </row>
    <row r="9" spans="1:14" x14ac:dyDescent="0.25">
      <c r="F9" s="11">
        <f>IF(B3&lt;=0.55,H5,IF(AND(B3&gt;0.55,B3&lt;=0.65),H9,IF(AND(B3&gt;0.65,B3&lt;=0.75),I9,IF(AND(B3&gt;0.75,B3&lt;=0.85),J9,IF(AND(B3&gt;0.85,B3&lt;=0.95),K9,IF(AND(B3&gt;0.95,B3&lt;=1.05),L9))))))</f>
        <v>2.7600000000000007</v>
      </c>
      <c r="G9" s="7"/>
      <c r="H9" s="7">
        <f>FORECAST(B3,H5:I5,H3:I3)</f>
        <v>2.7600000000000007</v>
      </c>
      <c r="I9" s="7">
        <f>FORECAST(B3,I5:J5,I3:J3)</f>
        <v>2.76</v>
      </c>
      <c r="J9" s="7">
        <f>FORECAST(B3,J5:K5,J3:K3)</f>
        <v>2.8800000000000003</v>
      </c>
      <c r="K9">
        <f>FORECAST(B3,K5:L5,K3:L3)</f>
        <v>3.0999999999999996</v>
      </c>
      <c r="L9">
        <f>FORECAST(B3,L5:M5,L3:M3)</f>
        <v>3.0999999999999983</v>
      </c>
    </row>
    <row r="10" spans="1:14" x14ac:dyDescent="0.25">
      <c r="F10" s="11" t="str">
        <f>IF(B3&lt;0.65,"Ошибка",IF(AND(B3&gt;=0.65,B3&lt;=0.75),I10,IF(AND(B3&gt;0.75,B3&lt;=0.85),J10,IF(AND(B3&gt;0.85,B3&lt;=0.95),K10,IF(AND(B3&gt;0.95,B3&lt;=1.05),L10)))))</f>
        <v>Ошибка</v>
      </c>
      <c r="G10" s="7"/>
      <c r="H10" s="7"/>
      <c r="I10" s="7">
        <f>FORECAST(B3,I6:J6,I3:J3)</f>
        <v>2.4199999999999995</v>
      </c>
      <c r="J10" s="7">
        <f>FORECAST(B3,J6:K6,J3:K3)</f>
        <v>2.4199999999999995</v>
      </c>
      <c r="K10">
        <f>FORECAST(B3,K6:L6,K3:L3)</f>
        <v>2.6400000000000006</v>
      </c>
      <c r="L10">
        <f>FORECAST(B3,L6:M6,L3:M3)</f>
        <v>2.6399999999999992</v>
      </c>
    </row>
  </sheetData>
  <mergeCells count="3">
    <mergeCell ref="F1:F3"/>
    <mergeCell ref="A5:B5"/>
    <mergeCell ref="G1:M2"/>
  </mergeCells>
  <dataValidations count="1">
    <dataValidation type="list" allowBlank="1" showInputMessage="1" showErrorMessage="1" sqref="B2">
      <formula1>$F$4:$F$6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O34" sqref="O34"/>
    </sheetView>
  </sheetViews>
  <sheetFormatPr defaultRowHeight="15" x14ac:dyDescent="0.25"/>
  <cols>
    <col min="1" max="1" width="16.42578125" customWidth="1"/>
    <col min="2" max="2" width="19.42578125" customWidth="1"/>
    <col min="6" max="6" width="13.85546875" customWidth="1"/>
    <col min="7" max="7" width="18" customWidth="1"/>
    <col min="8" max="8" width="15.85546875" customWidth="1"/>
    <col min="9" max="9" width="15.5703125" customWidth="1"/>
  </cols>
  <sheetData>
    <row r="1" spans="1:20" ht="29.25" customHeight="1" x14ac:dyDescent="0.25">
      <c r="F1" s="44" t="s">
        <v>8</v>
      </c>
      <c r="G1" s="45" t="s">
        <v>9</v>
      </c>
      <c r="H1" s="43" t="s">
        <v>13</v>
      </c>
      <c r="I1" s="43"/>
    </row>
    <row r="2" spans="1:20" x14ac:dyDescent="0.25">
      <c r="A2" s="18" t="s">
        <v>5</v>
      </c>
      <c r="B2" t="s">
        <v>4</v>
      </c>
      <c r="F2" s="45"/>
      <c r="G2" s="46"/>
      <c r="H2" s="12">
        <v>0</v>
      </c>
      <c r="I2" s="12">
        <v>1</v>
      </c>
    </row>
    <row r="3" spans="1:20" x14ac:dyDescent="0.25">
      <c r="A3" s="18" t="s">
        <v>12</v>
      </c>
      <c r="B3">
        <v>0.6</v>
      </c>
      <c r="F3" s="15" t="s">
        <v>2</v>
      </c>
      <c r="G3" s="14">
        <v>0.5</v>
      </c>
      <c r="H3" s="12">
        <v>300</v>
      </c>
      <c r="I3" s="12">
        <v>200</v>
      </c>
      <c r="O3" s="2"/>
      <c r="P3" s="13"/>
      <c r="Q3" s="13"/>
      <c r="R3" s="13"/>
      <c r="S3" s="2"/>
      <c r="T3" s="2"/>
    </row>
    <row r="4" spans="1:20" x14ac:dyDescent="0.25">
      <c r="A4" s="19" t="s">
        <v>10</v>
      </c>
      <c r="B4">
        <v>0.5</v>
      </c>
      <c r="F4" s="17"/>
      <c r="G4" s="14">
        <v>0.7</v>
      </c>
      <c r="H4" s="12">
        <v>250</v>
      </c>
      <c r="I4" s="12">
        <v>150</v>
      </c>
      <c r="P4" s="2"/>
      <c r="Q4" s="13"/>
      <c r="R4" s="13"/>
      <c r="S4" s="2"/>
      <c r="T4" s="2"/>
    </row>
    <row r="5" spans="1:20" x14ac:dyDescent="0.25">
      <c r="F5" s="15" t="s">
        <v>3</v>
      </c>
      <c r="G5" s="14">
        <v>0.5</v>
      </c>
      <c r="H5" s="12">
        <v>350</v>
      </c>
      <c r="I5" s="12">
        <v>250</v>
      </c>
      <c r="P5" s="2"/>
      <c r="Q5" s="2"/>
      <c r="R5" s="2"/>
      <c r="S5" s="2"/>
      <c r="T5" s="2"/>
    </row>
    <row r="6" spans="1:20" x14ac:dyDescent="0.25">
      <c r="A6" s="41" t="s">
        <v>25</v>
      </c>
      <c r="B6" s="41"/>
      <c r="F6" s="16"/>
      <c r="G6" s="14">
        <v>0.7</v>
      </c>
      <c r="H6" s="12">
        <v>250</v>
      </c>
      <c r="I6" s="12">
        <v>180</v>
      </c>
      <c r="Q6" s="2"/>
      <c r="R6" s="2"/>
      <c r="S6" s="2"/>
      <c r="T6" s="2"/>
    </row>
    <row r="7" spans="1:20" x14ac:dyDescent="0.25">
      <c r="A7" s="26"/>
      <c r="B7" s="6"/>
      <c r="F7" s="17"/>
      <c r="G7" s="14">
        <v>1</v>
      </c>
      <c r="H7" s="12">
        <v>200</v>
      </c>
      <c r="I7" s="12">
        <v>100</v>
      </c>
    </row>
    <row r="8" spans="1:20" x14ac:dyDescent="0.25">
      <c r="A8" s="27" t="s">
        <v>11</v>
      </c>
      <c r="B8" s="37">
        <f>IF(B2="Супеси",J14,IF(B2="Суглинки",J18,IF(B2="Глины",J23)))</f>
        <v>480</v>
      </c>
      <c r="F8" s="16" t="s">
        <v>4</v>
      </c>
      <c r="G8" s="14">
        <v>0.5</v>
      </c>
      <c r="H8" s="12">
        <v>600</v>
      </c>
      <c r="I8" s="12">
        <v>400</v>
      </c>
    </row>
    <row r="9" spans="1:20" x14ac:dyDescent="0.25">
      <c r="F9" s="16"/>
      <c r="G9" s="14">
        <v>0.6</v>
      </c>
      <c r="H9" s="12">
        <v>500</v>
      </c>
      <c r="I9" s="12">
        <v>300</v>
      </c>
    </row>
    <row r="10" spans="1:20" x14ac:dyDescent="0.25">
      <c r="F10" s="16"/>
      <c r="G10" s="14">
        <v>0.8</v>
      </c>
      <c r="H10" s="12">
        <v>300</v>
      </c>
      <c r="I10" s="12">
        <v>200</v>
      </c>
    </row>
    <row r="11" spans="1:20" x14ac:dyDescent="0.25">
      <c r="F11" s="17"/>
      <c r="G11" s="14">
        <v>1.1000000000000001</v>
      </c>
      <c r="H11" s="12">
        <v>250</v>
      </c>
      <c r="I11" s="12">
        <v>100</v>
      </c>
    </row>
    <row r="13" spans="1:20" x14ac:dyDescent="0.25">
      <c r="F13" s="2"/>
      <c r="G13" s="2">
        <f>FORECAST(B4,H3:H4,G3:G4)</f>
        <v>300</v>
      </c>
      <c r="H13" s="2">
        <f>FORECAST(B4,I3:I4,G3:G4)</f>
        <v>200</v>
      </c>
      <c r="I13" s="2"/>
      <c r="J13" s="20">
        <f>FORECAST(B3,G13:H13,H2:I2)</f>
        <v>240</v>
      </c>
    </row>
    <row r="14" spans="1:20" x14ac:dyDescent="0.25">
      <c r="F14" s="13"/>
      <c r="G14" s="13"/>
      <c r="H14" s="13"/>
      <c r="I14" s="2"/>
      <c r="J14" s="20">
        <f>IF(OR(B3&gt;1,B4&gt;0.7,B4&lt;0.5),"Ошибка",J13)</f>
        <v>240</v>
      </c>
    </row>
    <row r="15" spans="1:20" x14ac:dyDescent="0.25">
      <c r="F15" s="2">
        <f>VLOOKUP(B4,G5:G7,1)</f>
        <v>0.5</v>
      </c>
      <c r="G15" s="2">
        <f>INDEX($H$5:$I$7,MATCH($F15,$G$5:$G$7,),MATCH(H$2,$H$2:$I$2,))</f>
        <v>350</v>
      </c>
      <c r="H15" s="2">
        <f>INDEX($H$5:$I$7,MATCH($F15,$G$5:$G$7,),MATCH(I$2,$H$2:$I$2,))</f>
        <v>250</v>
      </c>
      <c r="I15" s="2"/>
      <c r="J15" s="20">
        <f>FORECAST(B3,G15:H15,H2:I2)</f>
        <v>290</v>
      </c>
    </row>
    <row r="16" spans="1:20" x14ac:dyDescent="0.25">
      <c r="F16" s="2">
        <f>INDEX(G5:G7,MATCH(1,FREQUENCY(B4,G5:G7),))</f>
        <v>0.5</v>
      </c>
      <c r="G16" s="2">
        <f>INDEX($H$5:$I$7,MATCH($F16,$G$5:$G$7,),MATCH(H$2,$H$2:$I$2,))</f>
        <v>350</v>
      </c>
      <c r="H16" s="2">
        <f>INDEX($H$5:$I$7,MATCH($F16,$G$5:$G$7,),MATCH(I$2,$H$2:$I$2,))</f>
        <v>250</v>
      </c>
      <c r="I16" s="2"/>
      <c r="J16" s="22" t="e">
        <f>FORECAST(B3,G17:H17,H2:I2)</f>
        <v>#DIV/0!</v>
      </c>
    </row>
    <row r="17" spans="6:10" x14ac:dyDescent="0.25">
      <c r="F17" s="2"/>
      <c r="G17" s="21" t="e">
        <f>FORECAST(B4,G15:G16,$F15:$F16)</f>
        <v>#DIV/0!</v>
      </c>
      <c r="H17" s="2" t="e">
        <f>FORECAST(B4,H15:H16,$F15:$F16)</f>
        <v>#DIV/0!</v>
      </c>
      <c r="I17" s="2"/>
      <c r="J17" s="22">
        <f>IF(AND(H2&lt;&gt;I2,F15=F16),J15,IF(AND(H2&lt;&gt;I2,F15&lt;&gt;F16),J16))</f>
        <v>290</v>
      </c>
    </row>
    <row r="18" spans="6:10" x14ac:dyDescent="0.25">
      <c r="F18" s="2"/>
      <c r="G18" s="2"/>
      <c r="H18" s="2"/>
      <c r="I18" s="2"/>
      <c r="J18" s="22">
        <f>IF(OR(B3&gt;1,B4&gt;1,B4&lt;0.5),"Ошибка",J17)</f>
        <v>290</v>
      </c>
    </row>
    <row r="19" spans="6:10" x14ac:dyDescent="0.25">
      <c r="F19" s="2"/>
      <c r="G19" s="2"/>
      <c r="H19" s="2"/>
      <c r="I19" s="2"/>
      <c r="J19" s="20"/>
    </row>
    <row r="20" spans="6:10" x14ac:dyDescent="0.25">
      <c r="F20" s="2">
        <f>VLOOKUP(B4,G8:G11,1)</f>
        <v>0.5</v>
      </c>
      <c r="G20" s="2">
        <f>INDEX($H$8:$I$11,MATCH($F20,$G$8:$G$11,),MATCH(H$2,$H$2:$I$2,))</f>
        <v>600</v>
      </c>
      <c r="H20" s="2">
        <f>INDEX($H$8:$I$11,MATCH($F20,$G$8:$G$11,),MATCH(I$2,$H$2:$I$2,))</f>
        <v>400</v>
      </c>
      <c r="I20" s="2"/>
      <c r="J20" s="20">
        <f>FORECAST(B3,G20:H20,H2:I2)</f>
        <v>480</v>
      </c>
    </row>
    <row r="21" spans="6:10" x14ac:dyDescent="0.25">
      <c r="F21" s="2">
        <f>INDEX(G8:G11,MATCH(1,FREQUENCY(B4,G8:G11),))</f>
        <v>0.5</v>
      </c>
      <c r="G21" s="2">
        <f>INDEX($H$8:$I$11,MATCH($F21,$G$8:$G$11,),MATCH(H$2,$H$2:$I$2,))</f>
        <v>600</v>
      </c>
      <c r="H21" s="2">
        <f>INDEX($H$8:$I$11,MATCH($F21,$G$8:$G$11,),MATCH(I$2,$H$2:$I$2,))</f>
        <v>400</v>
      </c>
      <c r="I21" s="2"/>
      <c r="J21" s="23" t="e">
        <f>FORECAST(B3,G22:H22,H2:I2)</f>
        <v>#DIV/0!</v>
      </c>
    </row>
    <row r="22" spans="6:10" x14ac:dyDescent="0.25">
      <c r="F22" s="2"/>
      <c r="G22" s="21" t="e">
        <f>FORECAST(B4,G20:G21,$F20:$F21)</f>
        <v>#DIV/0!</v>
      </c>
      <c r="H22" s="2" t="e">
        <f>FORECAST(B4,H20:H21,$F20:$F21)</f>
        <v>#DIV/0!</v>
      </c>
      <c r="I22" s="2"/>
      <c r="J22" s="22">
        <f>IF(AND(H2&lt;&gt;I2,F20=F21),J20,IF(AND(H2&lt;&gt;I2,F20&lt;&gt;F21),J21))</f>
        <v>480</v>
      </c>
    </row>
    <row r="23" spans="6:10" x14ac:dyDescent="0.25">
      <c r="F23" s="2"/>
      <c r="G23" s="2"/>
      <c r="H23" s="2"/>
      <c r="I23" s="2"/>
      <c r="J23" s="22">
        <f>IF(OR(B3&gt;1,B4&gt;1.1,B4&lt;0.5),"Ошибка",J22)</f>
        <v>480</v>
      </c>
    </row>
  </sheetData>
  <dataConsolidate/>
  <mergeCells count="4">
    <mergeCell ref="H1:I1"/>
    <mergeCell ref="F1:F2"/>
    <mergeCell ref="G1:G2"/>
    <mergeCell ref="A6:B6"/>
  </mergeCells>
  <dataValidations count="1">
    <dataValidation type="list" allowBlank="1" showInputMessage="1" showErrorMessage="1" sqref="B2">
      <formula1>"Супеси,Суглинки,Глины"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38" sqref="E38"/>
    </sheetView>
  </sheetViews>
  <sheetFormatPr defaultRowHeight="15" x14ac:dyDescent="0.25"/>
  <cols>
    <col min="1" max="1" width="26.28515625" customWidth="1"/>
  </cols>
  <sheetData>
    <row r="1" spans="1:15" x14ac:dyDescent="0.25">
      <c r="A1" s="18" t="s">
        <v>19</v>
      </c>
      <c r="B1" s="24">
        <v>0.25</v>
      </c>
      <c r="D1" s="47" t="s">
        <v>14</v>
      </c>
      <c r="E1" s="49" t="s">
        <v>23</v>
      </c>
      <c r="F1" s="50"/>
      <c r="G1" s="50"/>
      <c r="H1" s="50"/>
      <c r="I1" s="50"/>
      <c r="J1" s="50"/>
      <c r="K1" s="50"/>
      <c r="L1" s="50"/>
      <c r="M1" s="50"/>
      <c r="N1" s="51"/>
      <c r="O1" s="30"/>
    </row>
    <row r="2" spans="1:15" x14ac:dyDescent="0.25">
      <c r="A2" s="18" t="s">
        <v>18</v>
      </c>
      <c r="B2" s="25">
        <v>5</v>
      </c>
      <c r="D2" s="48"/>
      <c r="E2" s="31">
        <v>50</v>
      </c>
      <c r="F2" s="32">
        <v>40</v>
      </c>
      <c r="G2" s="32">
        <v>30</v>
      </c>
      <c r="H2" s="32">
        <v>20</v>
      </c>
      <c r="I2" s="32">
        <v>15</v>
      </c>
      <c r="J2" s="32">
        <v>10</v>
      </c>
      <c r="K2" s="32">
        <v>5</v>
      </c>
      <c r="L2" s="32">
        <v>3</v>
      </c>
      <c r="M2" s="32">
        <v>2</v>
      </c>
      <c r="N2" s="32">
        <v>1</v>
      </c>
      <c r="O2" s="20"/>
    </row>
    <row r="3" spans="1:15" x14ac:dyDescent="0.25">
      <c r="A3" s="18" t="s">
        <v>20</v>
      </c>
      <c r="B3" s="25">
        <v>2.65</v>
      </c>
      <c r="D3" s="33">
        <v>0</v>
      </c>
      <c r="E3" s="33">
        <v>1.83</v>
      </c>
      <c r="F3" s="33">
        <v>1.8</v>
      </c>
      <c r="G3" s="33">
        <v>1.78</v>
      </c>
      <c r="H3" s="33">
        <v>1.73</v>
      </c>
      <c r="I3" s="33">
        <v>1.72</v>
      </c>
      <c r="J3" s="33">
        <v>1.68</v>
      </c>
      <c r="K3" s="33">
        <v>1.61</v>
      </c>
      <c r="L3" s="33">
        <v>1.57</v>
      </c>
      <c r="M3" s="33">
        <v>1.55</v>
      </c>
      <c r="N3" s="33">
        <v>1.5</v>
      </c>
      <c r="O3" s="20"/>
    </row>
    <row r="4" spans="1:15" x14ac:dyDescent="0.25">
      <c r="D4" s="33">
        <v>0.05</v>
      </c>
      <c r="E4" s="33">
        <v>1.92</v>
      </c>
      <c r="F4" s="33">
        <v>1.89</v>
      </c>
      <c r="G4" s="33">
        <v>1.87</v>
      </c>
      <c r="H4" s="33">
        <v>1.82</v>
      </c>
      <c r="I4" s="33">
        <v>1.8</v>
      </c>
      <c r="J4" s="33">
        <v>1.76</v>
      </c>
      <c r="K4" s="33">
        <v>1.7</v>
      </c>
      <c r="L4" s="33">
        <v>1.65</v>
      </c>
      <c r="M4" s="33">
        <v>1.63</v>
      </c>
      <c r="N4" s="33">
        <v>1.58</v>
      </c>
      <c r="O4" s="20"/>
    </row>
    <row r="5" spans="1:15" x14ac:dyDescent="0.25">
      <c r="A5" s="41" t="s">
        <v>25</v>
      </c>
      <c r="B5" s="41"/>
      <c r="D5" s="33">
        <v>0.1</v>
      </c>
      <c r="E5" s="33">
        <v>2</v>
      </c>
      <c r="F5" s="33">
        <v>1.98</v>
      </c>
      <c r="G5" s="33">
        <v>1.95</v>
      </c>
      <c r="H5" s="33">
        <v>1.91</v>
      </c>
      <c r="I5" s="33">
        <v>1.88</v>
      </c>
      <c r="J5" s="33">
        <v>1.84</v>
      </c>
      <c r="K5" s="33">
        <v>1.78</v>
      </c>
      <c r="L5" s="33">
        <v>1.74</v>
      </c>
      <c r="M5" s="33">
        <v>1.71</v>
      </c>
      <c r="N5" s="33">
        <v>1.65</v>
      </c>
      <c r="O5" s="20"/>
    </row>
    <row r="6" spans="1:15" x14ac:dyDescent="0.25">
      <c r="A6" s="26"/>
      <c r="B6" s="6"/>
      <c r="D6" s="33">
        <v>0.15</v>
      </c>
      <c r="E6" s="33">
        <v>2.1</v>
      </c>
      <c r="F6" s="33">
        <v>2.0699999999999998</v>
      </c>
      <c r="G6" s="33">
        <v>2.0099999999999998</v>
      </c>
      <c r="H6" s="33">
        <v>1.99</v>
      </c>
      <c r="I6" s="33">
        <v>1.97</v>
      </c>
      <c r="J6" s="33">
        <v>1.93</v>
      </c>
      <c r="K6" s="33">
        <v>1.86</v>
      </c>
      <c r="L6" s="33">
        <v>1.82</v>
      </c>
      <c r="M6" s="33">
        <v>1.78</v>
      </c>
      <c r="N6" s="33">
        <v>1.72</v>
      </c>
      <c r="O6" s="20"/>
    </row>
    <row r="7" spans="1:15" x14ac:dyDescent="0.25">
      <c r="A7" s="27" t="s">
        <v>21</v>
      </c>
      <c r="B7" s="36">
        <f>IF(AND(G12&lt;&gt;H12,F13=F14),K12,IF(AND(F13&lt;&gt;F14,G12=H12),K14,IF(AND(F13=F14,G12=H12),K16,IF(AND(G12&lt;&gt;H12,F13&lt;&gt;F14),K18))))</f>
        <v>1.94</v>
      </c>
      <c r="D7" s="33">
        <v>0.2</v>
      </c>
      <c r="E7" s="33" t="s">
        <v>15</v>
      </c>
      <c r="F7" s="33" t="s">
        <v>15</v>
      </c>
      <c r="G7" s="33" t="s">
        <v>15</v>
      </c>
      <c r="H7" s="33">
        <v>2.08</v>
      </c>
      <c r="I7" s="33">
        <v>2.0499999999999998</v>
      </c>
      <c r="J7" s="33">
        <v>2.0099999999999998</v>
      </c>
      <c r="K7" s="33">
        <v>1.94</v>
      </c>
      <c r="L7" s="33">
        <v>1.89</v>
      </c>
      <c r="M7" s="33">
        <v>1.86</v>
      </c>
      <c r="N7" s="33">
        <v>1.8</v>
      </c>
      <c r="O7" s="20"/>
    </row>
    <row r="8" spans="1:15" x14ac:dyDescent="0.25">
      <c r="A8" s="27" t="s">
        <v>22</v>
      </c>
      <c r="B8" s="28">
        <f>B7/(1+B1)</f>
        <v>1.552</v>
      </c>
      <c r="C8" s="29"/>
      <c r="D8" s="33">
        <v>0.25</v>
      </c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>
        <v>1.94</v>
      </c>
      <c r="L8" s="33">
        <v>1.96</v>
      </c>
      <c r="M8" s="33">
        <v>1.94</v>
      </c>
      <c r="N8" s="33">
        <v>1.88</v>
      </c>
      <c r="O8" s="20"/>
    </row>
    <row r="9" spans="1:15" x14ac:dyDescent="0.25">
      <c r="A9" s="27" t="s">
        <v>6</v>
      </c>
      <c r="B9" s="28">
        <f>(B3-B8)/B8</f>
        <v>0.70747422680412364</v>
      </c>
      <c r="C9" s="29"/>
      <c r="D9" s="33">
        <v>0.3</v>
      </c>
      <c r="E9" s="33" t="s">
        <v>15</v>
      </c>
      <c r="F9" s="33" t="s">
        <v>15</v>
      </c>
      <c r="G9" s="33" t="s">
        <v>15</v>
      </c>
      <c r="H9" s="33" t="s">
        <v>15</v>
      </c>
      <c r="I9" s="33" t="s">
        <v>15</v>
      </c>
      <c r="J9" s="33" t="s">
        <v>15</v>
      </c>
      <c r="K9" s="33">
        <v>1.96</v>
      </c>
      <c r="L9" s="33">
        <v>1.96</v>
      </c>
      <c r="M9" s="33">
        <v>1.95</v>
      </c>
      <c r="N9" s="33">
        <v>1.95</v>
      </c>
      <c r="O9" s="20"/>
    </row>
    <row r="10" spans="1:15" x14ac:dyDescent="0.25">
      <c r="A10" s="27" t="s">
        <v>16</v>
      </c>
      <c r="B10" s="28">
        <f>(B1*B3)/B9</f>
        <v>0.93642987249544629</v>
      </c>
      <c r="C10" s="29"/>
      <c r="D10" s="29"/>
      <c r="E10" s="29"/>
      <c r="F10" s="20"/>
      <c r="G10" s="20"/>
      <c r="H10" s="20"/>
      <c r="I10" s="20"/>
      <c r="J10" s="20"/>
      <c r="K10" s="20"/>
      <c r="L10" s="20"/>
      <c r="M10" s="20"/>
      <c r="N10" s="20"/>
      <c r="O10" s="29"/>
    </row>
    <row r="11" spans="1:15" x14ac:dyDescent="0.25">
      <c r="A11" s="29"/>
      <c r="B11" s="29"/>
      <c r="C11" s="29"/>
      <c r="D11" s="29"/>
      <c r="E11" s="29"/>
      <c r="F11" s="20"/>
      <c r="G11" s="20"/>
      <c r="H11" s="20"/>
      <c r="I11" s="20"/>
      <c r="J11" s="20"/>
      <c r="K11" s="20"/>
      <c r="L11" s="20"/>
      <c r="M11" s="20"/>
      <c r="N11" s="20"/>
      <c r="O11" s="29"/>
    </row>
    <row r="12" spans="1:15" x14ac:dyDescent="0.25">
      <c r="A12" s="29"/>
      <c r="B12" s="29"/>
      <c r="C12" s="29"/>
      <c r="D12" s="29"/>
      <c r="E12" s="29"/>
      <c r="F12" s="29"/>
      <c r="G12" s="29">
        <f>INDEX(E2:N2,COUNTIF(E2:N2,"&gt;"&amp;B2)+1)</f>
        <v>5</v>
      </c>
      <c r="H12" s="29">
        <f>INDEX(E2:N2,MATCH(B2,E2:N2,-1))</f>
        <v>5</v>
      </c>
      <c r="I12" s="29"/>
      <c r="J12" s="20"/>
      <c r="K12" s="20" t="e">
        <f>FORECAST(B2,G13:H13,G12:H12)</f>
        <v>#DIV/0!</v>
      </c>
      <c r="L12" s="20"/>
      <c r="M12" s="20"/>
      <c r="N12" s="20"/>
      <c r="O12" s="29"/>
    </row>
    <row r="13" spans="1:15" x14ac:dyDescent="0.25">
      <c r="A13" s="41" t="s">
        <v>17</v>
      </c>
      <c r="B13" s="41"/>
      <c r="C13" s="35"/>
      <c r="D13" s="29"/>
      <c r="E13" s="29"/>
      <c r="F13" s="29">
        <f>VLOOKUP(B1,D3:D9,1)</f>
        <v>0.25</v>
      </c>
      <c r="G13" s="29">
        <f>INDEX($E$3:$N$9,MATCH($F13,$D$3:$D$9,),MATCH(G$12,$E$2:$N$2,))</f>
        <v>1.94</v>
      </c>
      <c r="H13" s="29">
        <f>INDEX($E$3:$N$9,MATCH($F13,$D$3:$D$9,),MATCH(H$12,$E$2:$N$2,))</f>
        <v>1.94</v>
      </c>
      <c r="I13" s="29"/>
      <c r="J13" s="20"/>
      <c r="K13" s="20"/>
      <c r="L13" s="20"/>
      <c r="M13" s="20"/>
      <c r="N13" s="20"/>
      <c r="O13" s="29"/>
    </row>
    <row r="14" spans="1:15" x14ac:dyDescent="0.25">
      <c r="A14" s="26"/>
      <c r="B14" s="33"/>
      <c r="C14" s="29"/>
      <c r="D14" s="29"/>
      <c r="E14" s="29"/>
      <c r="F14" s="29">
        <f>INDEX(D3:D9,MATCH(1,FREQUENCY(B1,D3:D9),))</f>
        <v>0.25</v>
      </c>
      <c r="G14" s="29">
        <f>INDEX($E$3:$N$9,MATCH($F14,$D$3:$D$9,),MATCH(G$12,$E$2:$N$2,))</f>
        <v>1.94</v>
      </c>
      <c r="H14" s="29">
        <f>INDEX($E$3:$N$9,MATCH($F14,$D$3:$D$9,),MATCH(H$12,$E$2:$N$2,))</f>
        <v>1.94</v>
      </c>
      <c r="I14" s="29"/>
      <c r="J14" s="20"/>
      <c r="K14" s="20" t="e">
        <f>FORECAST($B1,G13:G14,$F13:$F14)</f>
        <v>#DIV/0!</v>
      </c>
      <c r="L14" s="20"/>
      <c r="M14" s="20"/>
      <c r="N14" s="20"/>
      <c r="O14" s="29"/>
    </row>
    <row r="15" spans="1:15" x14ac:dyDescent="0.25">
      <c r="A15" s="27" t="s">
        <v>6</v>
      </c>
      <c r="B15" s="28">
        <f>0.765-0.185*LOG(B2/1)</f>
        <v>0.63569054919783652</v>
      </c>
      <c r="C15" s="29"/>
      <c r="D15" s="29"/>
      <c r="E15" s="29"/>
      <c r="F15" s="29"/>
      <c r="G15" s="29" t="e">
        <f>FORECAST($B1,G13:G14,$F13:$F14)</f>
        <v>#DIV/0!</v>
      </c>
      <c r="H15" s="29" t="e">
        <f>FORECAST($B1,H13:H14,$F13:$F14)</f>
        <v>#DIV/0!</v>
      </c>
      <c r="I15" s="29"/>
      <c r="J15" s="20"/>
      <c r="K15" s="20"/>
      <c r="L15" s="20"/>
      <c r="M15" s="20"/>
      <c r="N15" s="20"/>
      <c r="O15" s="29"/>
    </row>
    <row r="16" spans="1:15" x14ac:dyDescent="0.25">
      <c r="A16" s="27" t="s">
        <v>21</v>
      </c>
      <c r="B16" s="36">
        <f>(B3*(1+B1))/(1.765-0.185*LOG(B2/1))</f>
        <v>2.0251385579164056</v>
      </c>
      <c r="C16" s="29"/>
      <c r="D16" s="29"/>
      <c r="E16" s="29"/>
      <c r="F16" s="20"/>
      <c r="G16" s="20"/>
      <c r="H16" s="20"/>
      <c r="I16" s="20"/>
      <c r="J16" s="20"/>
      <c r="K16" s="20">
        <f>G13</f>
        <v>1.94</v>
      </c>
      <c r="L16" s="20"/>
      <c r="M16" s="20"/>
      <c r="N16" s="20"/>
      <c r="O16" s="29"/>
    </row>
    <row r="17" spans="1:15" x14ac:dyDescent="0.25">
      <c r="A17" s="27" t="s">
        <v>22</v>
      </c>
      <c r="B17" s="28">
        <f>B16/(1+B1)</f>
        <v>1.6201108463331244</v>
      </c>
      <c r="C17" s="29"/>
      <c r="D17" s="29"/>
      <c r="E17" s="29"/>
      <c r="F17" s="20"/>
      <c r="G17" s="20"/>
      <c r="H17" s="20"/>
      <c r="I17" s="20"/>
      <c r="J17" s="20"/>
      <c r="K17" s="20"/>
      <c r="L17" s="20"/>
      <c r="M17" s="20"/>
      <c r="N17" s="20"/>
      <c r="O17" s="29"/>
    </row>
    <row r="18" spans="1:15" x14ac:dyDescent="0.25">
      <c r="A18" s="27" t="s">
        <v>24</v>
      </c>
      <c r="B18" s="28">
        <f>(B1*B3)/B15</f>
        <v>1.0421737444987875</v>
      </c>
      <c r="C18" s="29"/>
      <c r="D18" s="29"/>
      <c r="E18" s="29"/>
      <c r="F18" s="29"/>
      <c r="G18" s="29"/>
      <c r="H18" s="29"/>
      <c r="I18" s="29"/>
      <c r="J18" s="29"/>
      <c r="K18" s="29" t="e">
        <f>FORECAST(B2,G15:H15,G12:H12)</f>
        <v>#DIV/0!</v>
      </c>
      <c r="L18" s="29"/>
      <c r="M18" s="29"/>
      <c r="N18" s="29"/>
      <c r="O18" s="29"/>
    </row>
    <row r="19" spans="1:15" x14ac:dyDescent="0.2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25">
      <c r="A27" s="29"/>
      <c r="B27" s="29"/>
      <c r="C27" s="29"/>
      <c r="D27" s="29"/>
      <c r="E27" s="29"/>
      <c r="F27" s="29"/>
      <c r="G27" s="34"/>
      <c r="H27" s="29"/>
      <c r="I27" s="29"/>
      <c r="J27" s="29"/>
      <c r="K27" s="29"/>
      <c r="L27" s="29"/>
      <c r="M27" s="29"/>
      <c r="N27" s="29"/>
      <c r="O27" s="29"/>
    </row>
  </sheetData>
  <mergeCells count="4">
    <mergeCell ref="A5:B5"/>
    <mergeCell ref="D1:D2"/>
    <mergeCell ref="E1:N1"/>
    <mergeCell ref="A13:B1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 1</vt:lpstr>
      <vt:lpstr>Пример 2</vt:lpstr>
      <vt:lpstr>Пример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2021-04-12T08:31:03Z</dcterms:modified>
</cp:coreProperties>
</file>